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sele\Documents\One MBA\GOM - Flynn\"/>
    </mc:Choice>
  </mc:AlternateContent>
  <bookViews>
    <workbookView xWindow="0" yWindow="0" windowWidth="24000" windowHeight="8780"/>
  </bookViews>
  <sheets>
    <sheet name="20" sheetId="1" r:id="rId1"/>
    <sheet name="22" sheetId="2" r:id="rId2"/>
    <sheet name="24" sheetId="3" r:id="rId3"/>
    <sheet name="28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4" l="1"/>
  <c r="E2" i="4"/>
  <c r="B2" i="4"/>
  <c r="C19" i="3"/>
  <c r="C18" i="3"/>
  <c r="C17" i="3"/>
  <c r="C16" i="3"/>
  <c r="C9" i="3"/>
  <c r="D9" i="3" s="1"/>
  <c r="C10" i="3"/>
  <c r="D10" i="3" s="1"/>
  <c r="C11" i="3"/>
  <c r="D11" i="3" s="1"/>
  <c r="C12" i="3"/>
  <c r="D12" i="3" s="1"/>
  <c r="C13" i="3"/>
  <c r="D13" i="3" s="1"/>
  <c r="C14" i="3"/>
  <c r="D14" i="3" s="1"/>
  <c r="C15" i="3"/>
  <c r="D15" i="3" s="1"/>
  <c r="C8" i="3"/>
  <c r="D8" i="3" s="1"/>
  <c r="D2" i="3" s="1"/>
  <c r="J19" i="2"/>
  <c r="J18" i="2"/>
  <c r="I20" i="2"/>
  <c r="I19" i="2"/>
  <c r="I18" i="2"/>
  <c r="I21" i="2"/>
  <c r="A22" i="2"/>
  <c r="I10" i="2" s="1"/>
  <c r="E11" i="2"/>
  <c r="E12" i="2"/>
  <c r="E13" i="2"/>
  <c r="E14" i="2"/>
  <c r="E15" i="2"/>
  <c r="E16" i="2"/>
  <c r="E17" i="2"/>
  <c r="E18" i="2"/>
  <c r="E19" i="2"/>
  <c r="E20" i="2"/>
  <c r="E21" i="2"/>
  <c r="E10" i="2"/>
  <c r="E22" i="2" s="1"/>
  <c r="B19" i="2"/>
  <c r="B20" i="2"/>
  <c r="B21" i="2"/>
  <c r="B18" i="2"/>
  <c r="B15" i="2"/>
  <c r="B16" i="2"/>
  <c r="B17" i="2"/>
  <c r="B14" i="2"/>
  <c r="B11" i="2"/>
  <c r="B12" i="2"/>
  <c r="B13" i="2"/>
  <c r="B10" i="2"/>
  <c r="B22" i="2" s="1"/>
  <c r="I11" i="2" s="1"/>
  <c r="E2" i="2"/>
  <c r="E3" i="2"/>
  <c r="E4" i="2"/>
  <c r="E5" i="2"/>
  <c r="F15" i="1"/>
  <c r="E15" i="1"/>
  <c r="D15" i="1"/>
  <c r="C15" i="1"/>
  <c r="F4" i="1"/>
  <c r="G3" i="1"/>
  <c r="H3" i="1"/>
  <c r="G2" i="1"/>
  <c r="F3" i="1" s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D6" i="1"/>
  <c r="D7" i="1"/>
  <c r="D8" i="1"/>
  <c r="D9" i="1"/>
  <c r="D10" i="1"/>
  <c r="D11" i="1"/>
  <c r="D12" i="1"/>
  <c r="D13" i="1"/>
  <c r="D5" i="1"/>
  <c r="C13" i="1"/>
  <c r="C12" i="1"/>
  <c r="C11" i="1"/>
  <c r="C10" i="1"/>
  <c r="C9" i="1"/>
  <c r="C8" i="1"/>
  <c r="C7" i="1"/>
  <c r="C6" i="1"/>
  <c r="C5" i="1"/>
  <c r="B16" i="3" l="1"/>
  <c r="D5" i="3"/>
  <c r="D4" i="3"/>
  <c r="B18" i="3"/>
  <c r="D3" i="3"/>
  <c r="B17" i="3" s="1"/>
  <c r="B19" i="3"/>
  <c r="E6" i="2"/>
  <c r="E7" i="2" s="1"/>
  <c r="F2" i="2" s="1"/>
  <c r="H4" i="1"/>
  <c r="C10" i="2" l="1"/>
  <c r="C14" i="2"/>
  <c r="D14" i="2" s="1"/>
  <c r="F14" i="2" s="1"/>
  <c r="C18" i="2"/>
  <c r="D18" i="2" s="1"/>
  <c r="F18" i="2" s="1"/>
  <c r="F4" i="2"/>
  <c r="F3" i="2"/>
  <c r="F5" i="2"/>
  <c r="G4" i="1"/>
  <c r="F5" i="1" s="1"/>
  <c r="D10" i="2" l="1"/>
  <c r="C22" i="2"/>
  <c r="C21" i="2"/>
  <c r="D21" i="2" s="1"/>
  <c r="F21" i="2" s="1"/>
  <c r="C17" i="2"/>
  <c r="D17" i="2" s="1"/>
  <c r="F17" i="2" s="1"/>
  <c r="C13" i="2"/>
  <c r="D13" i="2" s="1"/>
  <c r="F13" i="2" s="1"/>
  <c r="C20" i="2"/>
  <c r="D20" i="2" s="1"/>
  <c r="F20" i="2" s="1"/>
  <c r="C16" i="2"/>
  <c r="D16" i="2" s="1"/>
  <c r="F16" i="2" s="1"/>
  <c r="C12" i="2"/>
  <c r="D12" i="2" s="1"/>
  <c r="F12" i="2" s="1"/>
  <c r="C19" i="2"/>
  <c r="D19" i="2" s="1"/>
  <c r="F19" i="2" s="1"/>
  <c r="C15" i="2"/>
  <c r="D15" i="2" s="1"/>
  <c r="F15" i="2" s="1"/>
  <c r="C11" i="2"/>
  <c r="D11" i="2" s="1"/>
  <c r="F11" i="2" s="1"/>
  <c r="H5" i="1"/>
  <c r="F10" i="2" l="1"/>
  <c r="F22" i="2" s="1"/>
  <c r="I12" i="2" s="1"/>
  <c r="D22" i="2"/>
  <c r="G5" i="1"/>
  <c r="F6" i="1" s="1"/>
  <c r="I13" i="2" l="1"/>
  <c r="H6" i="1"/>
  <c r="J21" i="2" l="1"/>
  <c r="J20" i="2"/>
  <c r="G6" i="1"/>
  <c r="F7" i="1" s="1"/>
  <c r="H7" i="1" l="1"/>
  <c r="G7" i="1" l="1"/>
  <c r="F8" i="1" s="1"/>
  <c r="H8" i="1" l="1"/>
  <c r="G8" i="1" l="1"/>
  <c r="F9" i="1" s="1"/>
  <c r="H9" i="1" l="1"/>
  <c r="G9" i="1" l="1"/>
  <c r="F10" i="1" s="1"/>
  <c r="H10" i="1" l="1"/>
  <c r="G10" i="1" l="1"/>
  <c r="F11" i="1" s="1"/>
  <c r="H11" i="1" l="1"/>
  <c r="G11" i="1" l="1"/>
  <c r="F12" i="1" s="1"/>
  <c r="H12" i="1" l="1"/>
  <c r="G12" i="1" l="1"/>
  <c r="F13" i="1" s="1"/>
  <c r="H13" i="1" l="1"/>
  <c r="G13" i="1" s="1"/>
</calcChain>
</file>

<file path=xl/sharedStrings.xml><?xml version="1.0" encoding="utf-8"?>
<sst xmlns="http://schemas.openxmlformats.org/spreadsheetml/2006/main" count="62" uniqueCount="54">
  <si>
    <t>Month</t>
  </si>
  <si>
    <t>Actual demand</t>
  </si>
  <si>
    <t>3 Month Moving Average</t>
  </si>
  <si>
    <t>Weighted moving average</t>
  </si>
  <si>
    <t>Single exponential smoothing forecast</t>
  </si>
  <si>
    <t>Single exponential smoothing with trend component forecast</t>
  </si>
  <si>
    <t>FIT</t>
  </si>
  <si>
    <t>T</t>
  </si>
  <si>
    <t>MAD</t>
  </si>
  <si>
    <t>TWO YEARS AGO</t>
  </si>
  <si>
    <t>I</t>
  </si>
  <si>
    <t>III</t>
  </si>
  <si>
    <t>IV</t>
  </si>
  <si>
    <t>LAST YEAR</t>
  </si>
  <si>
    <t>THIS YEAR</t>
  </si>
  <si>
    <t>QUARTER</t>
  </si>
  <si>
    <t>Average of the same quarters of each year</t>
  </si>
  <si>
    <t>Seasonal factor</t>
  </si>
  <si>
    <t>Deseazonalized demand</t>
  </si>
  <si>
    <t>II</t>
  </si>
  <si>
    <t>Period</t>
  </si>
  <si>
    <t>Quarter</t>
  </si>
  <si>
    <t>x2</t>
  </si>
  <si>
    <t>x * yd</t>
  </si>
  <si>
    <t>x</t>
  </si>
  <si>
    <t>b</t>
  </si>
  <si>
    <t>yd</t>
  </si>
  <si>
    <t>a</t>
  </si>
  <si>
    <t>Deseazonalized</t>
  </si>
  <si>
    <t>Y = 4210 - 168x</t>
  </si>
  <si>
    <t>NEXT YEAR FORECAST</t>
  </si>
  <si>
    <t>Sales</t>
  </si>
  <si>
    <t>Year 1</t>
  </si>
  <si>
    <t>Year 2</t>
  </si>
  <si>
    <t>From trend equation</t>
  </si>
  <si>
    <t>Ratio of Actual / Trend</t>
  </si>
  <si>
    <t>Seasonal Factor</t>
  </si>
  <si>
    <t>Cost to place an order</t>
  </si>
  <si>
    <t>Cost of refrigerator</t>
  </si>
  <si>
    <t>Annual demand</t>
  </si>
  <si>
    <t>Standard deviation during lead time</t>
  </si>
  <si>
    <t>lead time (days)</t>
  </si>
  <si>
    <t>Qopt</t>
  </si>
  <si>
    <t>D</t>
  </si>
  <si>
    <t>S</t>
  </si>
  <si>
    <t>Holding cost per year</t>
  </si>
  <si>
    <t>H</t>
  </si>
  <si>
    <t>C</t>
  </si>
  <si>
    <t>Average daily demand</t>
  </si>
  <si>
    <t>R</t>
  </si>
  <si>
    <t>Sevice probability</t>
  </si>
  <si>
    <t>L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</si>
  <si>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</rPr>
      <t>d</t>
    </r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</si>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</sst>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9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sz val="11"/>
      <color theme="1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1" fillId="0" borderId="0" xfId="0" applyFont="1"/>
    <xf numFmtId="1" fontId="2" fillId="0" borderId="0" xfId="0" applyNumberFormat="1" applyFont="1" applyAlignment="1">
      <alignment horizontal="center"/>
    </xf>
    <xf numFmtId="9" fontId="0" fillId="0" borderId="0" xfId="0" applyNumberFormat="1"/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51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 Unicode MS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 Unicode MS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 Unicode MS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 Unicode MS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 Unicode MS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 Unicode MS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 Unicode MS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 Unicode MS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 Unicode MS"/>
        <scheme val="none"/>
      </font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9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E08C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'20'!$B$1</c:f>
              <c:strCache>
                <c:ptCount val="1"/>
                <c:pt idx="0">
                  <c:v>Actual demand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'20'!$A$2:$A$13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'20'!$B$2:$B$13</c:f>
              <c:numCache>
                <c:formatCode>General</c:formatCode>
                <c:ptCount val="12"/>
                <c:pt idx="0">
                  <c:v>62</c:v>
                </c:pt>
                <c:pt idx="1">
                  <c:v>65</c:v>
                </c:pt>
                <c:pt idx="2">
                  <c:v>67</c:v>
                </c:pt>
                <c:pt idx="3">
                  <c:v>68</c:v>
                </c:pt>
                <c:pt idx="4">
                  <c:v>71</c:v>
                </c:pt>
                <c:pt idx="5">
                  <c:v>73</c:v>
                </c:pt>
                <c:pt idx="6">
                  <c:v>76</c:v>
                </c:pt>
                <c:pt idx="7">
                  <c:v>78</c:v>
                </c:pt>
                <c:pt idx="8">
                  <c:v>78</c:v>
                </c:pt>
                <c:pt idx="9">
                  <c:v>80</c:v>
                </c:pt>
                <c:pt idx="10">
                  <c:v>84</c:v>
                </c:pt>
                <c:pt idx="11">
                  <c:v>85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'20'!$C$1</c:f>
              <c:strCache>
                <c:ptCount val="1"/>
                <c:pt idx="0">
                  <c:v>3 Month Moving Average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'20'!$A$2:$A$13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'20'!$C$2:$C$13</c:f>
              <c:numCache>
                <c:formatCode>General</c:formatCode>
                <c:ptCount val="12"/>
                <c:pt idx="3" formatCode="0.00">
                  <c:v>64.666666666666671</c:v>
                </c:pt>
                <c:pt idx="4" formatCode="0.00">
                  <c:v>66.666666666666671</c:v>
                </c:pt>
                <c:pt idx="5" formatCode="0.00">
                  <c:v>68.666666666666671</c:v>
                </c:pt>
                <c:pt idx="6" formatCode="0.00">
                  <c:v>70.666666666666671</c:v>
                </c:pt>
                <c:pt idx="7" formatCode="0.00">
                  <c:v>73.333333333333329</c:v>
                </c:pt>
                <c:pt idx="8" formatCode="0.00">
                  <c:v>75.666666666666671</c:v>
                </c:pt>
                <c:pt idx="9" formatCode="0.00">
                  <c:v>77.333333333333329</c:v>
                </c:pt>
                <c:pt idx="10" formatCode="0.00">
                  <c:v>78.666666666666671</c:v>
                </c:pt>
                <c:pt idx="11" formatCode="0.00">
                  <c:v>80.666666666666671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'20'!$D$1</c:f>
              <c:strCache>
                <c:ptCount val="1"/>
                <c:pt idx="0">
                  <c:v>Weighted moving average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'20'!$A$2:$A$13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'20'!$D$2:$D$13</c:f>
              <c:numCache>
                <c:formatCode>General</c:formatCode>
                <c:ptCount val="12"/>
                <c:pt idx="3">
                  <c:v>65.400000000000006</c:v>
                </c:pt>
                <c:pt idx="4">
                  <c:v>67.099999999999994</c:v>
                </c:pt>
                <c:pt idx="5">
                  <c:v>69.3</c:v>
                </c:pt>
                <c:pt idx="6">
                  <c:v>71.400000000000006</c:v>
                </c:pt>
                <c:pt idx="7">
                  <c:v>74.099999999999994</c:v>
                </c:pt>
                <c:pt idx="8">
                  <c:v>76.400000000000006</c:v>
                </c:pt>
                <c:pt idx="9">
                  <c:v>77.599999999999994</c:v>
                </c:pt>
                <c:pt idx="10">
                  <c:v>79</c:v>
                </c:pt>
                <c:pt idx="11">
                  <c:v>81.599999999999994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'20'!$E$1</c:f>
              <c:strCache>
                <c:ptCount val="1"/>
                <c:pt idx="0">
                  <c:v>Single exponential smoothing forecast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'20'!$A$2:$A$13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'20'!$E$2:$E$13</c:f>
              <c:numCache>
                <c:formatCode>0.00</c:formatCode>
                <c:ptCount val="12"/>
                <c:pt idx="1">
                  <c:v>61.3</c:v>
                </c:pt>
                <c:pt idx="2">
                  <c:v>62.41</c:v>
                </c:pt>
                <c:pt idx="3">
                  <c:v>63.786999999999999</c:v>
                </c:pt>
                <c:pt idx="4">
                  <c:v>65.050899999999999</c:v>
                </c:pt>
                <c:pt idx="5">
                  <c:v>66.835629999999995</c:v>
                </c:pt>
                <c:pt idx="6">
                  <c:v>68.684940999999995</c:v>
                </c:pt>
                <c:pt idx="7">
                  <c:v>70.879458700000001</c:v>
                </c:pt>
                <c:pt idx="8">
                  <c:v>73.015621089999996</c:v>
                </c:pt>
                <c:pt idx="9">
                  <c:v>74.510934762999995</c:v>
                </c:pt>
                <c:pt idx="10">
                  <c:v>76.157654334100002</c:v>
                </c:pt>
                <c:pt idx="11">
                  <c:v>78.510358033870006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'20'!$F$1</c:f>
              <c:strCache>
                <c:ptCount val="1"/>
                <c:pt idx="0">
                  <c:v>Single exponential smoothing with trend component forecast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5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'20'!$A$2:$A$13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'20'!$F$2:$F$13</c:f>
              <c:numCache>
                <c:formatCode>0.00</c:formatCode>
                <c:ptCount val="12"/>
                <c:pt idx="1">
                  <c:v>61.86</c:v>
                </c:pt>
                <c:pt idx="2">
                  <c:v>64.074600000000004</c:v>
                </c:pt>
                <c:pt idx="3">
                  <c:v>66.308106000000009</c:v>
                </c:pt>
                <c:pt idx="4">
                  <c:v>68.23383066000001</c:v>
                </c:pt>
                <c:pt idx="5">
                  <c:v>70.460793162599998</c:v>
                </c:pt>
                <c:pt idx="6">
                  <c:v>72.66819552978599</c:v>
                </c:pt>
                <c:pt idx="7">
                  <c:v>75.143239589135447</c:v>
                </c:pt>
                <c:pt idx="8">
                  <c:v>77.552878867657881</c:v>
                </c:pt>
                <c:pt idx="9">
                  <c:v>79.279867264534374</c:v>
                </c:pt>
                <c:pt idx="10">
                  <c:v>80.973571088539828</c:v>
                </c:pt>
                <c:pt idx="11">
                  <c:v>83.271542367375062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532800"/>
        <c:axId val="208529272"/>
      </c:scatterChart>
      <c:valAx>
        <c:axId val="208532800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8529272"/>
        <c:crosses val="autoZero"/>
        <c:crossBetween val="midCat"/>
      </c:valAx>
      <c:valAx>
        <c:axId val="208529272"/>
        <c:scaling>
          <c:orientation val="minMax"/>
          <c:max val="8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8532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'22'!$B$1</c:f>
              <c:strCache>
                <c:ptCount val="1"/>
                <c:pt idx="0">
                  <c:v>TWO YEARS AGO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  <a:effectLst/>
          </c:spPr>
          <c:invertIfNegative val="0"/>
          <c:cat>
            <c:strRef>
              <c:f>'22'!$A$2:$A$5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'22'!$B$2:$B$5</c:f>
              <c:numCache>
                <c:formatCode>General</c:formatCode>
                <c:ptCount val="4"/>
                <c:pt idx="0">
                  <c:v>4800</c:v>
                </c:pt>
                <c:pt idx="1">
                  <c:v>3500</c:v>
                </c:pt>
                <c:pt idx="2">
                  <c:v>4300</c:v>
                </c:pt>
                <c:pt idx="3">
                  <c:v>3000</c:v>
                </c:pt>
              </c:numCache>
            </c:numRef>
          </c:val>
        </c:ser>
        <c:ser>
          <c:idx val="1"/>
          <c:order val="1"/>
          <c:tx>
            <c:strRef>
              <c:f>'22'!$C$1</c:f>
              <c:strCache>
                <c:ptCount val="1"/>
                <c:pt idx="0">
                  <c:v>LAST YEAR</c:v>
                </c:pt>
              </c:strCache>
            </c:strRef>
          </c:tx>
          <c:spPr>
            <a:solidFill>
              <a:schemeClr val="accent2"/>
            </a:solidFill>
            <a:ln w="19050">
              <a:noFill/>
            </a:ln>
            <a:effectLst/>
          </c:spPr>
          <c:invertIfNegative val="0"/>
          <c:cat>
            <c:strRef>
              <c:f>'22'!$A$2:$A$5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'22'!$C$2:$C$5</c:f>
              <c:numCache>
                <c:formatCode>General</c:formatCode>
                <c:ptCount val="4"/>
                <c:pt idx="0">
                  <c:v>3500</c:v>
                </c:pt>
                <c:pt idx="1">
                  <c:v>2700</c:v>
                </c:pt>
                <c:pt idx="2">
                  <c:v>3500</c:v>
                </c:pt>
                <c:pt idx="3">
                  <c:v>2400</c:v>
                </c:pt>
              </c:numCache>
            </c:numRef>
          </c:val>
        </c:ser>
        <c:ser>
          <c:idx val="2"/>
          <c:order val="2"/>
          <c:tx>
            <c:strRef>
              <c:f>'22'!$D$1</c:f>
              <c:strCache>
                <c:ptCount val="1"/>
                <c:pt idx="0">
                  <c:v>THIS YEAR</c:v>
                </c:pt>
              </c:strCache>
            </c:strRef>
          </c:tx>
          <c:spPr>
            <a:solidFill>
              <a:schemeClr val="accent3"/>
            </a:solidFill>
            <a:ln w="19050">
              <a:noFill/>
            </a:ln>
            <a:effectLst/>
          </c:spPr>
          <c:invertIfNegative val="0"/>
          <c:cat>
            <c:strRef>
              <c:f>'22'!$A$2:$A$5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'22'!$D$2:$D$5</c:f>
              <c:numCache>
                <c:formatCode>General</c:formatCode>
                <c:ptCount val="4"/>
                <c:pt idx="0">
                  <c:v>3200</c:v>
                </c:pt>
                <c:pt idx="1">
                  <c:v>2100</c:v>
                </c:pt>
                <c:pt idx="2">
                  <c:v>2700</c:v>
                </c:pt>
                <c:pt idx="3">
                  <c:v>1700</c:v>
                </c:pt>
              </c:numCache>
            </c:numRef>
          </c:val>
        </c:ser>
        <c:ser>
          <c:idx val="3"/>
          <c:order val="3"/>
          <c:tx>
            <c:strRef>
              <c:f>'22'!$J$17</c:f>
              <c:strCache>
                <c:ptCount val="1"/>
                <c:pt idx="0">
                  <c:v>NEXT YEAR FORECAST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'22'!$J$18:$J$21</c:f>
              <c:numCache>
                <c:formatCode>0</c:formatCode>
                <c:ptCount val="4"/>
                <c:pt idx="0">
                  <c:v>2488.2835530892539</c:v>
                </c:pt>
                <c:pt idx="1">
                  <c:v>1646.5415988379848</c:v>
                </c:pt>
                <c:pt idx="2">
                  <c:v>1894.0375533540591</c:v>
                </c:pt>
                <c:pt idx="3">
                  <c:v>1152.9729184731796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529664"/>
        <c:axId val="208525352"/>
      </c:barChart>
      <c:catAx>
        <c:axId val="208529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8525352"/>
        <c:crosses val="autoZero"/>
        <c:auto val="1"/>
        <c:lblAlgn val="ctr"/>
        <c:lblOffset val="100"/>
        <c:noMultiLvlLbl val="0"/>
      </c:catAx>
      <c:valAx>
        <c:axId val="208525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852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'24'!$B$1</c:f>
              <c:strCache>
                <c:ptCount val="1"/>
                <c:pt idx="0">
                  <c:v>Year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'24'!$A$2:$A$5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'24'!$B$2:$B$5</c:f>
              <c:numCache>
                <c:formatCode>General</c:formatCode>
                <c:ptCount val="4"/>
                <c:pt idx="0">
                  <c:v>160</c:v>
                </c:pt>
                <c:pt idx="1">
                  <c:v>195</c:v>
                </c:pt>
                <c:pt idx="2">
                  <c:v>150</c:v>
                </c:pt>
                <c:pt idx="3">
                  <c:v>140</c:v>
                </c:pt>
              </c:numCache>
            </c:numRef>
          </c:val>
        </c:ser>
        <c:ser>
          <c:idx val="1"/>
          <c:order val="1"/>
          <c:tx>
            <c:strRef>
              <c:f>'24'!$C$1</c:f>
              <c:strCache>
                <c:ptCount val="1"/>
                <c:pt idx="0">
                  <c:v>Year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'24'!$A$2:$A$5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'24'!$C$2:$C$5</c:f>
              <c:numCache>
                <c:formatCode>General</c:formatCode>
                <c:ptCount val="4"/>
                <c:pt idx="0">
                  <c:v>215</c:v>
                </c:pt>
                <c:pt idx="1">
                  <c:v>240</c:v>
                </c:pt>
                <c:pt idx="2">
                  <c:v>205</c:v>
                </c:pt>
                <c:pt idx="3">
                  <c:v>190</c:v>
                </c:pt>
              </c:numCache>
            </c:numRef>
          </c:val>
        </c:ser>
        <c:ser>
          <c:idx val="2"/>
          <c:order val="2"/>
          <c:tx>
            <c:v>Forecast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'24'!$B$16:$B$19</c:f>
              <c:numCache>
                <c:formatCode>0</c:formatCode>
                <c:ptCount val="4"/>
                <c:pt idx="0">
                  <c:v>232.27312204668024</c:v>
                </c:pt>
                <c:pt idx="1">
                  <c:v>268.25758445097233</c:v>
                </c:pt>
                <c:pt idx="2">
                  <c:v>216.45772705622946</c:v>
                </c:pt>
                <c:pt idx="3">
                  <c:v>199.91284995993007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527312"/>
        <c:axId val="208527704"/>
      </c:barChart>
      <c:catAx>
        <c:axId val="20852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8527704"/>
        <c:crosses val="autoZero"/>
        <c:auto val="1"/>
        <c:lblAlgn val="ctr"/>
        <c:lblOffset val="100"/>
        <c:noMultiLvlLbl val="0"/>
      </c:catAx>
      <c:valAx>
        <c:axId val="208527704"/>
        <c:scaling>
          <c:orientation val="minMax"/>
          <c:max val="2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852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'24'!$B$7</c:f>
              <c:strCache>
                <c:ptCount val="1"/>
                <c:pt idx="0">
                  <c:v>Sales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9.1883672094349833E-2"/>
                  <c:y val="0.242982394497718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'24'!$A$8:$A$15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'24'!$B$8:$B$15</c:f>
              <c:numCache>
                <c:formatCode>General</c:formatCode>
                <c:ptCount val="8"/>
                <c:pt idx="0">
                  <c:v>160</c:v>
                </c:pt>
                <c:pt idx="1">
                  <c:v>195</c:v>
                </c:pt>
                <c:pt idx="2">
                  <c:v>150</c:v>
                </c:pt>
                <c:pt idx="3">
                  <c:v>140</c:v>
                </c:pt>
                <c:pt idx="4">
                  <c:v>215</c:v>
                </c:pt>
                <c:pt idx="5">
                  <c:v>240</c:v>
                </c:pt>
                <c:pt idx="6">
                  <c:v>205</c:v>
                </c:pt>
                <c:pt idx="7">
                  <c:v>190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616888"/>
        <c:axId val="209621592"/>
      </c:scatterChart>
      <c:valAx>
        <c:axId val="209616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9621592"/>
        <c:crosses val="autoZero"/>
        <c:crossBetween val="midCat"/>
      </c:valAx>
      <c:valAx>
        <c:axId val="209621592"/>
        <c:scaling>
          <c:orientation val="minMax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9616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104774</xdr:colOff>
      <xdr:row>0</xdr:row>
      <xdr:rowOff>42861</xdr:rowOff>
    </xdr:from>
    <xdr:to>
      <xdr:col>18</xdr:col>
      <xdr:colOff>409575</xdr:colOff>
      <xdr:row>23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209549</xdr:colOff>
      <xdr:row>0</xdr:row>
      <xdr:rowOff>42861</xdr:rowOff>
    </xdr:from>
    <xdr:to>
      <xdr:col>18</xdr:col>
      <xdr:colOff>600074</xdr:colOff>
      <xdr:row>21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285750</xdr:colOff>
      <xdr:row>0</xdr:row>
      <xdr:rowOff>71437</xdr:rowOff>
    </xdr:from>
    <xdr:to>
      <xdr:col>20</xdr:col>
      <xdr:colOff>247650</xdr:colOff>
      <xdr:row>22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238124</xdr:colOff>
      <xdr:row>0</xdr:row>
      <xdr:rowOff>52386</xdr:rowOff>
    </xdr:from>
    <xdr:to>
      <xdr:col>12</xdr:col>
      <xdr:colOff>219075</xdr:colOff>
      <xdr:row>22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H13" totalsRowShown="0" headerRowDxfId="0" dataDxfId="1">
  <autoFilter ref="A1:H13"/>
  <tableColumns count="8">
    <tableColumn id="1" name="Month" dataDxfId="9"/>
    <tableColumn id="2" name="Actual demand" dataDxfId="8"/>
    <tableColumn id="3" name="3 Month Moving Average" dataDxfId="7"/>
    <tableColumn id="4" name="Weighted moving average" dataDxfId="6"/>
    <tableColumn id="5" name="Single exponential smoothing forecast" dataDxfId="5"/>
    <tableColumn id="6" name="Single exponential smoothing with trend component forecast" dataDxfId="4"/>
    <tableColumn id="7" name="FIT" dataDxfId="3"/>
    <tableColumn id="8" name="T" dataDxfId="2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F6" totalsRowCount="1" headerRowDxfId="50" dataDxfId="49">
  <tableColumns count="6">
    <tableColumn id="1" name="QUARTER" dataDxfId="48" totalsRowDxfId="47"/>
    <tableColumn id="2" name="TWO YEARS AGO" dataDxfId="46" totalsRowDxfId="45"/>
    <tableColumn id="3" name="LAST YEAR" dataDxfId="44" totalsRowDxfId="43"/>
    <tableColumn id="4" name="THIS YEAR" dataDxfId="42" totalsRowDxfId="41"/>
    <tableColumn id="5" name="Average of the same quarters of each year" totalsRowFunction="custom" dataDxfId="40" totalsRowDxfId="39">
      <calculatedColumnFormula>SUM(Table2[[#This Row],[TWO YEARS AGO]:[THIS YEAR]])/3</calculatedColumnFormula>
      <totalsRowFormula>SUM(Table2[Average of the same quarters of each year])</totalsRowFormula>
    </tableColumn>
    <tableColumn id="6" name="Seasonal factor" dataDxfId="38" totalsRowDxfId="37">
      <calculatedColumnFormula>Table2[[#This Row],[Average of the same quarters of each year]]/$E$7</calculatedColumnFormula>
    </tableColumn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9:F22" totalsRowCount="1" headerRowDxfId="36" dataDxfId="35">
  <tableColumns count="6">
    <tableColumn id="1" name="Period" totalsRowFunction="custom" dataDxfId="34" totalsRowDxfId="33">
      <totalsRowFormula>SUM(Table3[Period])</totalsRowFormula>
    </tableColumn>
    <tableColumn id="2" name="Actual demand" totalsRowFunction="sum" dataDxfId="32" totalsRowDxfId="31"/>
    <tableColumn id="3" name="Seasonal factor" totalsRowFunction="sum" dataDxfId="30" totalsRowDxfId="29"/>
    <tableColumn id="4" name="Deseazonalized demand" totalsRowFunction="sum" dataDxfId="28" totalsRowDxfId="27">
      <calculatedColumnFormula>B10/C10</calculatedColumnFormula>
    </tableColumn>
    <tableColumn id="5" name="x2" totalsRowFunction="sum" dataDxfId="26" totalsRowDxfId="25">
      <calculatedColumnFormula>A10*A10</calculatedColumnFormula>
    </tableColumn>
    <tableColumn id="6" name="x * yd" totalsRowFunction="sum" dataDxfId="24" totalsRowDxfId="23">
      <calculatedColumnFormula>A10*D10</calculatedColumnFormula>
    </tableColumn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H17:J21" totalsRowShown="0" headerRowDxfId="22" dataDxfId="21">
  <tableColumns count="3">
    <tableColumn id="1" name="Period" dataDxfId="20"/>
    <tableColumn id="2" name="Deseazonalized" dataDxfId="19">
      <calculatedColumnFormula>$I$13+($I$12*H18)</calculatedColumnFormula>
    </tableColumn>
    <tableColumn id="3" name="NEXT YEAR FORECAST" dataDxfId="18">
      <calculatedColumnFormula>I18*F2</calculatedColumnFormula>
    </tableColumn>
  </tableColumns>
  <tableStyleInfo name="TableStyleMedium16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A1:D5" totalsRowShown="0" dataDxfId="17">
  <autoFilter ref="A1:D5"/>
  <tableColumns count="4">
    <tableColumn id="1" name="Quarter" dataDxfId="16"/>
    <tableColumn id="2" name="Year 1" dataDxfId="15"/>
    <tableColumn id="3" name="Year 2" dataDxfId="14"/>
    <tableColumn id="4" name="Seasonal Factor" dataDxfId="13">
      <calculatedColumnFormula>(D8+D12)/2</calculatedColumnFormula>
    </tableColumn>
  </tableColumns>
  <tableStyleInfo name="TableStyleMedium16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A7:D19" totalsRowShown="0">
  <autoFilter ref="A7:D19"/>
  <tableColumns count="4">
    <tableColumn id="1" name="Period" dataDxfId="12"/>
    <tableColumn id="2" name="Sales" dataDxfId="11"/>
    <tableColumn id="3" name="From trend equation" dataDxfId="10">
      <calculatedColumnFormula>7.2024*A8+154.46</calculatedColumnFormula>
    </tableColumn>
    <tableColumn id="4" name="Ratio of Actual / Trend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G20" sqref="G20"/>
    </sheetView>
  </sheetViews>
  <sheetFormatPr defaultRowHeight="14.5" x14ac:dyDescent="0.35"/>
  <cols>
    <col min="2" max="2" width="16.453125" customWidth="1"/>
    <col min="3" max="3" width="16.26953125" customWidth="1"/>
    <col min="4" max="4" width="14" customWidth="1"/>
    <col min="5" max="5" width="18.26953125" customWidth="1"/>
    <col min="6" max="6" width="23.453125" customWidth="1"/>
  </cols>
  <sheetData>
    <row r="1" spans="1:8" ht="42" x14ac:dyDescent="0.3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</row>
    <row r="2" spans="1:8" ht="16.5" x14ac:dyDescent="0.45">
      <c r="A2" s="15">
        <v>1</v>
      </c>
      <c r="B2" s="15">
        <v>62</v>
      </c>
      <c r="C2" s="15"/>
      <c r="D2" s="15"/>
      <c r="E2" s="15"/>
      <c r="F2" s="15"/>
      <c r="G2" s="15">
        <f>60+Table1[[#This Row],[T]]</f>
        <v>61.8</v>
      </c>
      <c r="H2" s="16">
        <v>1.8</v>
      </c>
    </row>
    <row r="3" spans="1:8" ht="16.5" x14ac:dyDescent="0.45">
      <c r="A3" s="15">
        <v>2</v>
      </c>
      <c r="B3" s="15">
        <v>65</v>
      </c>
      <c r="C3" s="15"/>
      <c r="D3" s="15"/>
      <c r="E3" s="17">
        <f>61+0.3*(B2-61)</f>
        <v>61.3</v>
      </c>
      <c r="F3" s="17">
        <f>G2+0.3*(B2-G2)</f>
        <v>61.86</v>
      </c>
      <c r="G3" s="17">
        <f>Table1[[#This Row],[Single exponential smoothing with trend component forecast]]+Table1[[#This Row],[T]]</f>
        <v>63.677999999999997</v>
      </c>
      <c r="H3" s="17">
        <f>H2+0.3*(Table1[[#This Row],[Single exponential smoothing with trend component forecast]]-G2)</f>
        <v>1.8180000000000007</v>
      </c>
    </row>
    <row r="4" spans="1:8" ht="16.5" x14ac:dyDescent="0.45">
      <c r="A4" s="15">
        <v>3</v>
      </c>
      <c r="B4" s="15">
        <v>67</v>
      </c>
      <c r="C4" s="15"/>
      <c r="D4" s="15"/>
      <c r="E4" s="17">
        <f>E3+0.3*(B3-E3)</f>
        <v>62.41</v>
      </c>
      <c r="F4" s="17">
        <f t="shared" ref="F4:F13" si="0">G3+0.3*(B3-G3)</f>
        <v>64.074600000000004</v>
      </c>
      <c r="G4" s="17">
        <f>Table1[[#This Row],[Single exponential smoothing with trend component forecast]]+Table1[[#This Row],[T]]</f>
        <v>66.011580000000009</v>
      </c>
      <c r="H4" s="17">
        <f>H3+0.3*(Table1[[#This Row],[Single exponential smoothing with trend component forecast]]-G3)</f>
        <v>1.9369800000000026</v>
      </c>
    </row>
    <row r="5" spans="1:8" ht="16.5" x14ac:dyDescent="0.45">
      <c r="A5" s="15">
        <v>4</v>
      </c>
      <c r="B5" s="15">
        <v>68</v>
      </c>
      <c r="C5" s="17">
        <f>(B4+B3+B2)/3</f>
        <v>64.666666666666671</v>
      </c>
      <c r="D5" s="15">
        <f>(0.5*B4+0.3*B3+0.2*B2)</f>
        <v>65.400000000000006</v>
      </c>
      <c r="E5" s="17">
        <f t="shared" ref="E5:E13" si="1">E4+0.3*(B4-E4)</f>
        <v>63.786999999999999</v>
      </c>
      <c r="F5" s="17">
        <f t="shared" si="0"/>
        <v>66.308106000000009</v>
      </c>
      <c r="G5" s="17">
        <f>Table1[[#This Row],[Single exponential smoothing with trend component forecast]]+Table1[[#This Row],[T]]</f>
        <v>68.334043800000018</v>
      </c>
      <c r="H5" s="17">
        <f>H4+0.3*(Table1[[#This Row],[Single exponential smoothing with trend component forecast]]-G4)</f>
        <v>2.0259378000000026</v>
      </c>
    </row>
    <row r="6" spans="1:8" ht="16.5" x14ac:dyDescent="0.45">
      <c r="A6" s="15">
        <v>5</v>
      </c>
      <c r="B6" s="15">
        <v>71</v>
      </c>
      <c r="C6" s="17">
        <f t="shared" ref="C6:C13" si="2">(B5+B4+B3)/3</f>
        <v>66.666666666666671</v>
      </c>
      <c r="D6" s="15">
        <f t="shared" ref="D6:D13" si="3">(0.5*B5+0.3*B4+0.2*B3)</f>
        <v>67.099999999999994</v>
      </c>
      <c r="E6" s="17">
        <f t="shared" si="1"/>
        <v>65.050899999999999</v>
      </c>
      <c r="F6" s="17">
        <f t="shared" si="0"/>
        <v>68.23383066000001</v>
      </c>
      <c r="G6" s="17">
        <f>Table1[[#This Row],[Single exponential smoothing with trend component forecast]]+Table1[[#This Row],[T]]</f>
        <v>70.229704518000005</v>
      </c>
      <c r="H6" s="17">
        <f>H5+0.3*(Table1[[#This Row],[Single exponential smoothing with trend component forecast]]-G5)</f>
        <v>1.9958738580000002</v>
      </c>
    </row>
    <row r="7" spans="1:8" ht="16.5" x14ac:dyDescent="0.45">
      <c r="A7" s="15">
        <v>6</v>
      </c>
      <c r="B7" s="15">
        <v>73</v>
      </c>
      <c r="C7" s="17">
        <f t="shared" si="2"/>
        <v>68.666666666666671</v>
      </c>
      <c r="D7" s="15">
        <f t="shared" si="3"/>
        <v>69.3</v>
      </c>
      <c r="E7" s="17">
        <f t="shared" si="1"/>
        <v>66.835629999999995</v>
      </c>
      <c r="F7" s="17">
        <f t="shared" si="0"/>
        <v>70.460793162599998</v>
      </c>
      <c r="G7" s="17">
        <f>Table1[[#This Row],[Single exponential smoothing with trend component forecast]]+Table1[[#This Row],[T]]</f>
        <v>72.525993613979992</v>
      </c>
      <c r="H7" s="17">
        <f>H6+0.3*(Table1[[#This Row],[Single exponential smoothing with trend component forecast]]-G6)</f>
        <v>2.0652004513799982</v>
      </c>
    </row>
    <row r="8" spans="1:8" ht="16.5" x14ac:dyDescent="0.45">
      <c r="A8" s="15">
        <v>7</v>
      </c>
      <c r="B8" s="15">
        <v>76</v>
      </c>
      <c r="C8" s="17">
        <f t="shared" si="2"/>
        <v>70.666666666666671</v>
      </c>
      <c r="D8" s="15">
        <f t="shared" si="3"/>
        <v>71.400000000000006</v>
      </c>
      <c r="E8" s="17">
        <f t="shared" si="1"/>
        <v>68.684940999999995</v>
      </c>
      <c r="F8" s="17">
        <f t="shared" si="0"/>
        <v>72.66819552978599</v>
      </c>
      <c r="G8" s="17">
        <f>Table1[[#This Row],[Single exponential smoothing with trend component forecast]]+Table1[[#This Row],[T]]</f>
        <v>74.776056555907786</v>
      </c>
      <c r="H8" s="17">
        <f>H7+0.3*(Table1[[#This Row],[Single exponential smoothing with trend component forecast]]-G7)</f>
        <v>2.1078610261217978</v>
      </c>
    </row>
    <row r="9" spans="1:8" ht="16.5" x14ac:dyDescent="0.45">
      <c r="A9" s="15">
        <v>8</v>
      </c>
      <c r="B9" s="15">
        <v>78</v>
      </c>
      <c r="C9" s="17">
        <f t="shared" si="2"/>
        <v>73.333333333333329</v>
      </c>
      <c r="D9" s="15">
        <f t="shared" si="3"/>
        <v>74.099999999999994</v>
      </c>
      <c r="E9" s="17">
        <f t="shared" si="1"/>
        <v>70.879458700000001</v>
      </c>
      <c r="F9" s="17">
        <f t="shared" si="0"/>
        <v>75.143239589135447</v>
      </c>
      <c r="G9" s="17">
        <f>Table1[[#This Row],[Single exponential smoothing with trend component forecast]]+Table1[[#This Row],[T]]</f>
        <v>77.361255525225545</v>
      </c>
      <c r="H9" s="17">
        <f>H8+0.3*(Table1[[#This Row],[Single exponential smoothing with trend component forecast]]-G8)</f>
        <v>2.2180159360900964</v>
      </c>
    </row>
    <row r="10" spans="1:8" ht="16.5" x14ac:dyDescent="0.45">
      <c r="A10" s="15">
        <v>9</v>
      </c>
      <c r="B10" s="15">
        <v>78</v>
      </c>
      <c r="C10" s="17">
        <f t="shared" si="2"/>
        <v>75.666666666666671</v>
      </c>
      <c r="D10" s="15">
        <f t="shared" si="3"/>
        <v>76.400000000000006</v>
      </c>
      <c r="E10" s="17">
        <f t="shared" si="1"/>
        <v>73.015621089999996</v>
      </c>
      <c r="F10" s="17">
        <f t="shared" si="0"/>
        <v>77.552878867657881</v>
      </c>
      <c r="G10" s="17">
        <f>Table1[[#This Row],[Single exponential smoothing with trend component forecast]]+Table1[[#This Row],[T]]</f>
        <v>79.82838180647768</v>
      </c>
      <c r="H10" s="17">
        <f>H9+0.3*(Table1[[#This Row],[Single exponential smoothing with trend component forecast]]-G9)</f>
        <v>2.2755029388197974</v>
      </c>
    </row>
    <row r="11" spans="1:8" ht="16.5" x14ac:dyDescent="0.45">
      <c r="A11" s="15">
        <v>10</v>
      </c>
      <c r="B11" s="15">
        <v>80</v>
      </c>
      <c r="C11" s="17">
        <f t="shared" si="2"/>
        <v>77.333333333333329</v>
      </c>
      <c r="D11" s="15">
        <f t="shared" si="3"/>
        <v>77.599999999999994</v>
      </c>
      <c r="E11" s="17">
        <f t="shared" si="1"/>
        <v>74.510934762999995</v>
      </c>
      <c r="F11" s="17">
        <f t="shared" si="0"/>
        <v>79.279867264534374</v>
      </c>
      <c r="G11" s="17">
        <f>Table1[[#This Row],[Single exponential smoothing with trend component forecast]]+Table1[[#This Row],[T]]</f>
        <v>81.390815840771182</v>
      </c>
      <c r="H11" s="17">
        <f>H10+0.3*(Table1[[#This Row],[Single exponential smoothing with trend component forecast]]-G10)</f>
        <v>2.1109485762368059</v>
      </c>
    </row>
    <row r="12" spans="1:8" ht="16.5" x14ac:dyDescent="0.45">
      <c r="A12" s="15">
        <v>11</v>
      </c>
      <c r="B12" s="15">
        <v>84</v>
      </c>
      <c r="C12" s="17">
        <f t="shared" si="2"/>
        <v>78.666666666666671</v>
      </c>
      <c r="D12" s="15">
        <f t="shared" si="3"/>
        <v>79</v>
      </c>
      <c r="E12" s="17">
        <f t="shared" si="1"/>
        <v>76.157654334100002</v>
      </c>
      <c r="F12" s="17">
        <f t="shared" si="0"/>
        <v>80.973571088539828</v>
      </c>
      <c r="G12" s="17">
        <f>Table1[[#This Row],[Single exponential smoothing with trend component forecast]]+Table1[[#This Row],[T]]</f>
        <v>82.959346239107234</v>
      </c>
      <c r="H12" s="17">
        <f>H11+0.3*(Table1[[#This Row],[Single exponential smoothing with trend component forecast]]-G11)</f>
        <v>1.9857751505673995</v>
      </c>
    </row>
    <row r="13" spans="1:8" ht="16.5" x14ac:dyDescent="0.45">
      <c r="A13" s="15">
        <v>12</v>
      </c>
      <c r="B13" s="15">
        <v>85</v>
      </c>
      <c r="C13" s="17">
        <f t="shared" si="2"/>
        <v>80.666666666666671</v>
      </c>
      <c r="D13" s="15">
        <f t="shared" si="3"/>
        <v>81.599999999999994</v>
      </c>
      <c r="E13" s="17">
        <f t="shared" si="1"/>
        <v>78.510358033870006</v>
      </c>
      <c r="F13" s="17">
        <f t="shared" si="0"/>
        <v>83.271542367375062</v>
      </c>
      <c r="G13" s="17">
        <f>Table1[[#This Row],[Single exponential smoothing with trend component forecast]]+Table1[[#This Row],[T]]</f>
        <v>85.350976356422805</v>
      </c>
      <c r="H13" s="17">
        <f>H12+0.3*(Table1[[#This Row],[Single exponential smoothing with trend component forecast]]-G12)</f>
        <v>2.079433989047748</v>
      </c>
    </row>
    <row r="15" spans="1:8" ht="15.5" x14ac:dyDescent="0.35">
      <c r="A15" s="20" t="s">
        <v>8</v>
      </c>
      <c r="C15" s="19">
        <f>(($B$5-C5)+($B$6-C6)+($B$7-C7)+($B$8-C8)+($B$9-C9)+($B$10-C10)+($B$11-C11)+($B$12-C12)+($B$13-C13))/COUNT(A5:A13)</f>
        <v>4.0740740740740717</v>
      </c>
      <c r="D15" s="19">
        <f>(($B$5-D5)+($B$6-D6)+($B$7-D7)+($B$8-D8)+($B$9-D9)+($B$10-D10)+($B$11-D11)+($B$12-D12)+($B$13-D13))/COUNT(B5:B13)</f>
        <v>3.4555555555555566</v>
      </c>
      <c r="E15" s="19">
        <f>(($B$5-E5)+($B$6-E6)+($B$7-E7)+($B$8-E8)+($B$9-E9)+($B$10-E10)+($B$11-E11)+($B$12-E12)+($B$13-E13))/COUNT(C5:C13)</f>
        <v>6.1741668976700019</v>
      </c>
      <c r="F15" s="19">
        <f>(($B$5-F5)+($B$6-F6)+($B$7-F7)+($B$8-F8)+($B$9-F9)+($B$10-F10)+($B$11-F11)+($B$12-F12)+($B$13-F13))/COUNT(D5:D13)</f>
        <v>2.1231083855968222</v>
      </c>
    </row>
  </sheetData>
  <pageMargins left="0.7" right="0.7" top="0.75" bottom="0.75" header="0.3" footer="0.3"/>
  <pageSetup orientation="portrait" r:id="rId1"/>
  <ignoredErrors>
    <ignoredError sqref="C15:D15" formulaRange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E2" sqref="E2"/>
    </sheetView>
  </sheetViews>
  <sheetFormatPr defaultRowHeight="14.5" x14ac:dyDescent="0.35"/>
  <cols>
    <col min="1" max="1" width="11.453125" customWidth="1"/>
    <col min="2" max="2" width="13.54296875" customWidth="1"/>
    <col min="3" max="3" width="14" customWidth="1"/>
    <col min="4" max="4" width="16.81640625" customWidth="1"/>
    <col min="5" max="5" width="15.26953125" customWidth="1"/>
    <col min="7" max="7" width="5.1796875" customWidth="1"/>
    <col min="8" max="8" width="7.26953125" customWidth="1"/>
    <col min="9" max="9" width="16.26953125" customWidth="1"/>
    <col min="10" max="10" width="21.1796875" customWidth="1"/>
  </cols>
  <sheetData>
    <row r="1" spans="1:11" ht="53.25" customHeight="1" x14ac:dyDescent="0.35">
      <c r="A1" s="3" t="s">
        <v>15</v>
      </c>
      <c r="B1" s="3" t="s">
        <v>9</v>
      </c>
      <c r="C1" s="3" t="s">
        <v>13</v>
      </c>
      <c r="D1" s="3" t="s">
        <v>14</v>
      </c>
      <c r="E1" s="3" t="s">
        <v>16</v>
      </c>
      <c r="F1" s="3" t="s">
        <v>17</v>
      </c>
    </row>
    <row r="2" spans="1:11" x14ac:dyDescent="0.35">
      <c r="A2" s="5" t="s">
        <v>10</v>
      </c>
      <c r="B2" s="5">
        <v>4800</v>
      </c>
      <c r="C2" s="5">
        <v>3500</v>
      </c>
      <c r="D2" s="5">
        <v>3200</v>
      </c>
      <c r="E2" s="7">
        <f>SUM(Table2[[#This Row],[TWO YEARS AGO]:[THIS YEAR]])/3</f>
        <v>3833.3333333333335</v>
      </c>
      <c r="F2" s="6">
        <f>Table2[[#This Row],[Average of the same quarters of each year]]/$E$7</f>
        <v>1.2299465240641712</v>
      </c>
    </row>
    <row r="3" spans="1:11" x14ac:dyDescent="0.35">
      <c r="A3" s="5" t="s">
        <v>19</v>
      </c>
      <c r="B3" s="5">
        <v>3500</v>
      </c>
      <c r="C3" s="5">
        <v>2700</v>
      </c>
      <c r="D3" s="5">
        <v>2100</v>
      </c>
      <c r="E3" s="7">
        <f>SUM(Table2[[#This Row],[TWO YEARS AGO]:[THIS YEAR]])/3</f>
        <v>2766.6666666666665</v>
      </c>
      <c r="F3" s="6">
        <f>Table2[[#This Row],[Average of the same quarters of each year]]/$E$7</f>
        <v>0.88770053475935828</v>
      </c>
    </row>
    <row r="4" spans="1:11" x14ac:dyDescent="0.35">
      <c r="A4" s="5" t="s">
        <v>11</v>
      </c>
      <c r="B4" s="5">
        <v>4300</v>
      </c>
      <c r="C4" s="5">
        <v>3500</v>
      </c>
      <c r="D4" s="5">
        <v>2700</v>
      </c>
      <c r="E4" s="7">
        <f>SUM(Table2[[#This Row],[TWO YEARS AGO]:[THIS YEAR]])/3</f>
        <v>3500</v>
      </c>
      <c r="F4" s="6">
        <f>Table2[[#This Row],[Average of the same quarters of each year]]/$E$7</f>
        <v>1.1229946524064172</v>
      </c>
    </row>
    <row r="5" spans="1:11" x14ac:dyDescent="0.35">
      <c r="A5" s="5" t="s">
        <v>12</v>
      </c>
      <c r="B5" s="5">
        <v>3000</v>
      </c>
      <c r="C5" s="5">
        <v>2400</v>
      </c>
      <c r="D5" s="5">
        <v>1700</v>
      </c>
      <c r="E5" s="7">
        <f>SUM(Table2[[#This Row],[TWO YEARS AGO]:[THIS YEAR]])/3</f>
        <v>2366.6666666666665</v>
      </c>
      <c r="F5" s="6">
        <f>Table2[[#This Row],[Average of the same quarters of each year]]/$E$7</f>
        <v>0.75935828877005351</v>
      </c>
    </row>
    <row r="6" spans="1:11" x14ac:dyDescent="0.35">
      <c r="A6" s="5"/>
      <c r="B6" s="5"/>
      <c r="C6" s="5"/>
      <c r="D6" s="5"/>
      <c r="E6" s="7">
        <f>SUM(Table2[Average of the same quarters of each year])</f>
        <v>12466.666666666666</v>
      </c>
      <c r="F6" s="5"/>
    </row>
    <row r="7" spans="1:11" x14ac:dyDescent="0.35">
      <c r="E7" s="9">
        <f>Table2[[#Totals],[Average of the same quarters of each year]]/4</f>
        <v>3116.6666666666665</v>
      </c>
    </row>
    <row r="9" spans="1:11" ht="38.25" customHeight="1" x14ac:dyDescent="0.35">
      <c r="A9" s="3" t="s">
        <v>20</v>
      </c>
      <c r="B9" s="3" t="s">
        <v>1</v>
      </c>
      <c r="C9" s="3" t="s">
        <v>17</v>
      </c>
      <c r="D9" s="3" t="s">
        <v>18</v>
      </c>
      <c r="E9" s="3" t="s">
        <v>22</v>
      </c>
      <c r="F9" s="3" t="s">
        <v>23</v>
      </c>
    </row>
    <row r="10" spans="1:11" x14ac:dyDescent="0.35">
      <c r="A10" s="1">
        <v>1</v>
      </c>
      <c r="B10" s="1">
        <f>B2</f>
        <v>4800</v>
      </c>
      <c r="C10" s="2">
        <f>F2</f>
        <v>1.2299465240641712</v>
      </c>
      <c r="D10" s="9">
        <f>B10/C10</f>
        <v>3902.608695652174</v>
      </c>
      <c r="E10" s="1">
        <f>A10*A10</f>
        <v>1</v>
      </c>
      <c r="F10" s="9">
        <f>A10*D10</f>
        <v>3902.608695652174</v>
      </c>
      <c r="H10" t="s">
        <v>24</v>
      </c>
      <c r="I10">
        <f>Table3[[#Totals],[Period]]/A21</f>
        <v>6.5</v>
      </c>
    </row>
    <row r="11" spans="1:11" x14ac:dyDescent="0.35">
      <c r="A11" s="1">
        <v>2</v>
      </c>
      <c r="B11" s="1">
        <f>B3</f>
        <v>3500</v>
      </c>
      <c r="C11" s="2">
        <f>F3</f>
        <v>0.88770053475935828</v>
      </c>
      <c r="D11" s="9">
        <f t="shared" ref="D11:D21" si="0">B11/C11</f>
        <v>3942.7710843373493</v>
      </c>
      <c r="E11" s="1">
        <f t="shared" ref="E11:E21" si="1">A11*A11</f>
        <v>4</v>
      </c>
      <c r="F11" s="9">
        <f t="shared" ref="F11:F21" si="2">A11*D11</f>
        <v>7885.5421686746986</v>
      </c>
      <c r="H11" t="s">
        <v>26</v>
      </c>
      <c r="I11" s="8">
        <f>Table3[[#Totals],[Actual demand]]/A21</f>
        <v>3116.6666666666665</v>
      </c>
    </row>
    <row r="12" spans="1:11" x14ac:dyDescent="0.35">
      <c r="A12" s="1">
        <v>3</v>
      </c>
      <c r="B12" s="1">
        <f>B4</f>
        <v>4300</v>
      </c>
      <c r="C12" s="2">
        <f>F4</f>
        <v>1.1229946524064172</v>
      </c>
      <c r="D12" s="9">
        <f t="shared" si="0"/>
        <v>3829.0476190476188</v>
      </c>
      <c r="E12" s="1">
        <f t="shared" si="1"/>
        <v>9</v>
      </c>
      <c r="F12" s="9">
        <f t="shared" si="2"/>
        <v>11487.142857142857</v>
      </c>
      <c r="H12" t="s">
        <v>25</v>
      </c>
      <c r="I12" s="8">
        <f>((Table3[[#Totals],[x * yd]])-(A21*I10*I11))/((Table3[[#Totals],[x2]])-(A21*(I10*I10)))</f>
        <v>-168.24368488671763</v>
      </c>
    </row>
    <row r="13" spans="1:11" x14ac:dyDescent="0.35">
      <c r="A13" s="1">
        <v>4</v>
      </c>
      <c r="B13" s="1">
        <f>B5</f>
        <v>3000</v>
      </c>
      <c r="C13" s="2">
        <f>F5</f>
        <v>0.75935828877005351</v>
      </c>
      <c r="D13" s="9">
        <f t="shared" si="0"/>
        <v>3950.7042253521126</v>
      </c>
      <c r="E13" s="1">
        <f t="shared" si="1"/>
        <v>16</v>
      </c>
      <c r="F13" s="9">
        <f t="shared" si="2"/>
        <v>15802.816901408451</v>
      </c>
      <c r="H13" t="s">
        <v>27</v>
      </c>
      <c r="I13" s="8">
        <f>I11-I12*I10</f>
        <v>4210.2506184303311</v>
      </c>
    </row>
    <row r="14" spans="1:11" x14ac:dyDescent="0.35">
      <c r="A14" s="1">
        <v>5</v>
      </c>
      <c r="B14" s="1">
        <f>C2</f>
        <v>3500</v>
      </c>
      <c r="C14" s="2">
        <f>F2</f>
        <v>1.2299465240641712</v>
      </c>
      <c r="D14" s="9">
        <f t="shared" si="0"/>
        <v>2845.6521739130435</v>
      </c>
      <c r="E14" s="1">
        <f t="shared" si="1"/>
        <v>25</v>
      </c>
      <c r="F14" s="9">
        <f t="shared" si="2"/>
        <v>14228.260869565218</v>
      </c>
    </row>
    <row r="15" spans="1:11" ht="21" x14ac:dyDescent="0.5">
      <c r="A15" s="1">
        <v>6</v>
      </c>
      <c r="B15" s="1">
        <f>C3</f>
        <v>2700</v>
      </c>
      <c r="C15" s="2">
        <f t="shared" ref="C15:C17" si="3">F3</f>
        <v>0.88770053475935828</v>
      </c>
      <c r="D15" s="9">
        <f t="shared" si="0"/>
        <v>3041.5662650602408</v>
      </c>
      <c r="E15" s="1">
        <f t="shared" si="1"/>
        <v>36</v>
      </c>
      <c r="F15" s="9">
        <f t="shared" si="2"/>
        <v>18249.397590361445</v>
      </c>
      <c r="H15" s="14" t="s">
        <v>29</v>
      </c>
      <c r="I15" s="14"/>
      <c r="J15" s="14"/>
      <c r="K15" s="10"/>
    </row>
    <row r="16" spans="1:11" x14ac:dyDescent="0.35">
      <c r="A16" s="1">
        <v>7</v>
      </c>
      <c r="B16" s="1">
        <f>C4</f>
        <v>3500</v>
      </c>
      <c r="C16" s="2">
        <f t="shared" si="3"/>
        <v>1.1229946524064172</v>
      </c>
      <c r="D16" s="9">
        <f t="shared" si="0"/>
        <v>3116.6666666666665</v>
      </c>
      <c r="E16" s="1">
        <f t="shared" si="1"/>
        <v>49</v>
      </c>
      <c r="F16" s="9">
        <f t="shared" si="2"/>
        <v>21816.666666666664</v>
      </c>
    </row>
    <row r="17" spans="1:10" x14ac:dyDescent="0.35">
      <c r="A17" s="1">
        <v>8</v>
      </c>
      <c r="B17" s="1">
        <f>C5</f>
        <v>2400</v>
      </c>
      <c r="C17" s="2">
        <f t="shared" si="3"/>
        <v>0.75935828877005351</v>
      </c>
      <c r="D17" s="9">
        <f t="shared" si="0"/>
        <v>3160.5633802816901</v>
      </c>
      <c r="E17" s="1">
        <f t="shared" si="1"/>
        <v>64</v>
      </c>
      <c r="F17" s="9">
        <f t="shared" si="2"/>
        <v>25284.507042253521</v>
      </c>
      <c r="H17" s="1" t="s">
        <v>20</v>
      </c>
      <c r="I17" s="1" t="s">
        <v>28</v>
      </c>
      <c r="J17" s="1" t="s">
        <v>30</v>
      </c>
    </row>
    <row r="18" spans="1:10" x14ac:dyDescent="0.35">
      <c r="A18" s="1">
        <v>9</v>
      </c>
      <c r="B18" s="1">
        <f>D2</f>
        <v>3200</v>
      </c>
      <c r="C18" s="2">
        <f>F2</f>
        <v>1.2299465240641712</v>
      </c>
      <c r="D18" s="9">
        <f t="shared" si="0"/>
        <v>2601.7391304347825</v>
      </c>
      <c r="E18" s="1">
        <f t="shared" si="1"/>
        <v>81</v>
      </c>
      <c r="F18" s="9">
        <f t="shared" si="2"/>
        <v>23415.652173913044</v>
      </c>
      <c r="H18" s="1">
        <v>13</v>
      </c>
      <c r="I18" s="9">
        <f>$I$13+($I$12*H18)</f>
        <v>2023.0827149030019</v>
      </c>
      <c r="J18" s="9">
        <f>I18*F2</f>
        <v>2488.2835530892539</v>
      </c>
    </row>
    <row r="19" spans="1:10" x14ac:dyDescent="0.35">
      <c r="A19" s="1">
        <v>10</v>
      </c>
      <c r="B19" s="1">
        <f>D3</f>
        <v>2100</v>
      </c>
      <c r="C19" s="2">
        <f t="shared" ref="C19:C21" si="4">F3</f>
        <v>0.88770053475935828</v>
      </c>
      <c r="D19" s="9">
        <f t="shared" si="0"/>
        <v>2365.6626506024095</v>
      </c>
      <c r="E19" s="1">
        <f t="shared" si="1"/>
        <v>100</v>
      </c>
      <c r="F19" s="9">
        <f t="shared" si="2"/>
        <v>23656.626506024095</v>
      </c>
      <c r="H19" s="1">
        <v>14</v>
      </c>
      <c r="I19" s="9">
        <f>$I$13+($I$12*H19)</f>
        <v>1854.8390300162841</v>
      </c>
      <c r="J19" s="9">
        <f>I19*F3</f>
        <v>1646.5415988379848</v>
      </c>
    </row>
    <row r="20" spans="1:10" x14ac:dyDescent="0.35">
      <c r="A20" s="1">
        <v>11</v>
      </c>
      <c r="B20" s="1">
        <f>D4</f>
        <v>2700</v>
      </c>
      <c r="C20" s="2">
        <f t="shared" si="4"/>
        <v>1.1229946524064172</v>
      </c>
      <c r="D20" s="9">
        <f t="shared" si="0"/>
        <v>2404.2857142857142</v>
      </c>
      <c r="E20" s="1">
        <f t="shared" si="1"/>
        <v>121</v>
      </c>
      <c r="F20" s="9">
        <f t="shared" si="2"/>
        <v>26447.142857142855</v>
      </c>
      <c r="H20" s="1">
        <v>15</v>
      </c>
      <c r="I20" s="9">
        <f>$I$13+($I$12*H20)</f>
        <v>1686.5953451295668</v>
      </c>
      <c r="J20" s="9">
        <f>I20*F4</f>
        <v>1894.0375533540591</v>
      </c>
    </row>
    <row r="21" spans="1:10" x14ac:dyDescent="0.35">
      <c r="A21" s="1">
        <v>12</v>
      </c>
      <c r="B21" s="1">
        <f>D5</f>
        <v>1700</v>
      </c>
      <c r="C21" s="2">
        <f t="shared" si="4"/>
        <v>0.75935828877005351</v>
      </c>
      <c r="D21" s="9">
        <f t="shared" si="0"/>
        <v>2238.7323943661972</v>
      </c>
      <c r="E21" s="1">
        <f t="shared" si="1"/>
        <v>144</v>
      </c>
      <c r="F21" s="9">
        <f t="shared" si="2"/>
        <v>26864.788732394365</v>
      </c>
      <c r="H21" s="1">
        <v>16</v>
      </c>
      <c r="I21" s="9">
        <f t="shared" ref="I21" si="5">$I$13+($I$12*H21)</f>
        <v>1518.351660242849</v>
      </c>
      <c r="J21" s="9">
        <f>I21*F5</f>
        <v>1152.9729184731796</v>
      </c>
    </row>
    <row r="22" spans="1:10" x14ac:dyDescent="0.35">
      <c r="A22" s="1">
        <f>SUM(Table3[Period])</f>
        <v>78</v>
      </c>
      <c r="B22" s="1">
        <f>SUBTOTAL(109,Table3[Actual demand])</f>
        <v>37400</v>
      </c>
      <c r="C22" s="2">
        <f>SUBTOTAL(109,Table3[Seasonal factor])</f>
        <v>12</v>
      </c>
      <c r="D22" s="9">
        <f>SUBTOTAL(109,Table3[Deseazonalized demand])</f>
        <v>37400.000000000007</v>
      </c>
      <c r="E22" s="1">
        <f>SUBTOTAL(109,Table3[x2])</f>
        <v>650</v>
      </c>
      <c r="F22" s="9">
        <f>SUBTOTAL(109,Table3[x * yd])</f>
        <v>219041.15306119938</v>
      </c>
    </row>
  </sheetData>
  <mergeCells count="1">
    <mergeCell ref="H15:J15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D22" sqref="D22"/>
    </sheetView>
  </sheetViews>
  <sheetFormatPr defaultRowHeight="14.5" x14ac:dyDescent="0.35"/>
  <cols>
    <col min="1" max="1" width="10" customWidth="1"/>
    <col min="3" max="3" width="21.453125" customWidth="1"/>
    <col min="4" max="4" width="22.81640625" customWidth="1"/>
  </cols>
  <sheetData>
    <row r="1" spans="1:4" x14ac:dyDescent="0.35">
      <c r="A1" t="s">
        <v>21</v>
      </c>
      <c r="B1" t="s">
        <v>32</v>
      </c>
      <c r="C1" t="s">
        <v>33</v>
      </c>
      <c r="D1" t="s">
        <v>36</v>
      </c>
    </row>
    <row r="2" spans="1:4" x14ac:dyDescent="0.35">
      <c r="A2" s="1" t="s">
        <v>10</v>
      </c>
      <c r="B2" s="1">
        <v>160</v>
      </c>
      <c r="C2" s="1">
        <v>215</v>
      </c>
      <c r="D2" s="2">
        <f>(D8+D12)/2</f>
        <v>1.0592458375289135</v>
      </c>
    </row>
    <row r="3" spans="1:4" x14ac:dyDescent="0.35">
      <c r="A3" s="1" t="s">
        <v>19</v>
      </c>
      <c r="B3" s="1">
        <v>195</v>
      </c>
      <c r="C3" s="1">
        <v>240</v>
      </c>
      <c r="D3" s="2">
        <f>(D9+D13)/2</f>
        <v>1.1844438655753711</v>
      </c>
    </row>
    <row r="4" spans="1:4" x14ac:dyDescent="0.35">
      <c r="A4" s="1" t="s">
        <v>11</v>
      </c>
      <c r="B4" s="1">
        <v>150</v>
      </c>
      <c r="C4" s="1">
        <v>205</v>
      </c>
      <c r="D4" s="2">
        <f>(D10+D14)/2</f>
        <v>0.92627438762473757</v>
      </c>
    </row>
    <row r="5" spans="1:4" x14ac:dyDescent="0.35">
      <c r="A5" s="1" t="s">
        <v>12</v>
      </c>
      <c r="B5" s="1">
        <v>140</v>
      </c>
      <c r="C5" s="1">
        <v>190</v>
      </c>
      <c r="D5" s="2">
        <f>(D11+D15)/2</f>
        <v>0.82989682359632355</v>
      </c>
    </row>
    <row r="7" spans="1:4" x14ac:dyDescent="0.35">
      <c r="A7" t="s">
        <v>20</v>
      </c>
      <c r="B7" t="s">
        <v>31</v>
      </c>
      <c r="C7" t="s">
        <v>34</v>
      </c>
      <c r="D7" t="s">
        <v>35</v>
      </c>
    </row>
    <row r="8" spans="1:4" x14ac:dyDescent="0.35">
      <c r="A8" s="1">
        <v>1</v>
      </c>
      <c r="B8" s="1">
        <v>160</v>
      </c>
      <c r="C8" s="9">
        <f>7.2024*A8+154.46</f>
        <v>161.66240000000002</v>
      </c>
      <c r="D8" s="2">
        <f>B8/C8</f>
        <v>0.98971684201150034</v>
      </c>
    </row>
    <row r="9" spans="1:4" x14ac:dyDescent="0.35">
      <c r="A9" s="1">
        <v>2</v>
      </c>
      <c r="B9" s="1">
        <v>195</v>
      </c>
      <c r="C9" s="9">
        <f t="shared" ref="C9:C19" si="0">7.2024*A9+154.46</f>
        <v>168.8648</v>
      </c>
      <c r="D9" s="2">
        <f t="shared" ref="D9:D15" si="1">B9/C9</f>
        <v>1.1547699698220115</v>
      </c>
    </row>
    <row r="10" spans="1:4" x14ac:dyDescent="0.35">
      <c r="A10" s="1">
        <v>3</v>
      </c>
      <c r="B10" s="1">
        <v>150</v>
      </c>
      <c r="C10" s="9">
        <f t="shared" si="0"/>
        <v>176.06720000000001</v>
      </c>
      <c r="D10" s="2">
        <f t="shared" si="1"/>
        <v>0.85194743825084962</v>
      </c>
    </row>
    <row r="11" spans="1:4" x14ac:dyDescent="0.35">
      <c r="A11" s="1">
        <v>4</v>
      </c>
      <c r="B11" s="1">
        <v>140</v>
      </c>
      <c r="C11" s="9">
        <f t="shared" si="0"/>
        <v>183.2696</v>
      </c>
      <c r="D11" s="2">
        <f t="shared" si="1"/>
        <v>0.76390192372330168</v>
      </c>
    </row>
    <row r="12" spans="1:4" x14ac:dyDescent="0.35">
      <c r="A12" s="1">
        <v>5</v>
      </c>
      <c r="B12" s="1">
        <v>215</v>
      </c>
      <c r="C12" s="9">
        <f t="shared" si="0"/>
        <v>190.47200000000001</v>
      </c>
      <c r="D12" s="2">
        <f t="shared" si="1"/>
        <v>1.128774833046327</v>
      </c>
    </row>
    <row r="13" spans="1:4" x14ac:dyDescent="0.35">
      <c r="A13" s="1">
        <v>6</v>
      </c>
      <c r="B13" s="1">
        <v>240</v>
      </c>
      <c r="C13" s="9">
        <f t="shared" si="0"/>
        <v>197.67439999999999</v>
      </c>
      <c r="D13" s="2">
        <f t="shared" si="1"/>
        <v>1.2141177613287306</v>
      </c>
    </row>
    <row r="14" spans="1:4" x14ac:dyDescent="0.35">
      <c r="A14" s="1">
        <v>7</v>
      </c>
      <c r="B14" s="1">
        <v>205</v>
      </c>
      <c r="C14" s="9">
        <f t="shared" si="0"/>
        <v>204.8768</v>
      </c>
      <c r="D14" s="2">
        <f t="shared" si="1"/>
        <v>1.0006013369986255</v>
      </c>
    </row>
    <row r="15" spans="1:4" x14ac:dyDescent="0.35">
      <c r="A15" s="1">
        <v>8</v>
      </c>
      <c r="B15" s="1">
        <v>190</v>
      </c>
      <c r="C15" s="9">
        <f t="shared" si="0"/>
        <v>212.07920000000001</v>
      </c>
      <c r="D15" s="2">
        <f t="shared" si="1"/>
        <v>0.89589172346934531</v>
      </c>
    </row>
    <row r="16" spans="1:4" ht="23.5" x14ac:dyDescent="0.55000000000000004">
      <c r="A16" s="1">
        <v>9</v>
      </c>
      <c r="B16" s="11">
        <f>C16*D2</f>
        <v>232.27312204668024</v>
      </c>
      <c r="C16" s="9">
        <f t="shared" si="0"/>
        <v>219.28160000000003</v>
      </c>
    </row>
    <row r="17" spans="1:3" ht="23.5" x14ac:dyDescent="0.55000000000000004">
      <c r="A17" s="1">
        <v>10</v>
      </c>
      <c r="B17" s="11">
        <f>C17*D3</f>
        <v>268.25758445097233</v>
      </c>
      <c r="C17" s="9">
        <f t="shared" si="0"/>
        <v>226.48400000000001</v>
      </c>
    </row>
    <row r="18" spans="1:3" ht="23.5" x14ac:dyDescent="0.55000000000000004">
      <c r="A18" s="1">
        <v>11</v>
      </c>
      <c r="B18" s="11">
        <f>C18*D4</f>
        <v>216.45772705622946</v>
      </c>
      <c r="C18" s="9">
        <f t="shared" si="0"/>
        <v>233.68639999999999</v>
      </c>
    </row>
    <row r="19" spans="1:3" ht="23.5" x14ac:dyDescent="0.55000000000000004">
      <c r="A19" s="1">
        <v>12</v>
      </c>
      <c r="B19" s="11">
        <f>C19*D5</f>
        <v>199.91284995993007</v>
      </c>
      <c r="C19" s="9">
        <f t="shared" si="0"/>
        <v>240.8888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8" sqref="C8"/>
    </sheetView>
  </sheetViews>
  <sheetFormatPr defaultRowHeight="14.5" x14ac:dyDescent="0.35"/>
  <cols>
    <col min="1" max="1" width="33.453125" bestFit="1" customWidth="1"/>
  </cols>
  <sheetData>
    <row r="1" spans="1:5" x14ac:dyDescent="0.35">
      <c r="A1" t="s">
        <v>37</v>
      </c>
      <c r="B1">
        <v>100</v>
      </c>
      <c r="C1" t="s">
        <v>44</v>
      </c>
    </row>
    <row r="2" spans="1:5" x14ac:dyDescent="0.35">
      <c r="A2" t="s">
        <v>45</v>
      </c>
      <c r="B2">
        <f>0.2*B3</f>
        <v>100</v>
      </c>
      <c r="C2" t="s">
        <v>46</v>
      </c>
      <c r="D2" t="s">
        <v>42</v>
      </c>
      <c r="E2" s="9">
        <f>SQRT((2*B4*B1)/B2)</f>
        <v>31.622776601683793</v>
      </c>
    </row>
    <row r="3" spans="1:5" x14ac:dyDescent="0.35">
      <c r="A3" t="s">
        <v>38</v>
      </c>
      <c r="B3">
        <v>500</v>
      </c>
      <c r="C3" t="s">
        <v>47</v>
      </c>
      <c r="D3" t="s">
        <v>49</v>
      </c>
      <c r="E3" s="9"/>
    </row>
    <row r="4" spans="1:5" x14ac:dyDescent="0.35">
      <c r="A4" t="s">
        <v>39</v>
      </c>
      <c r="B4">
        <v>500</v>
      </c>
      <c r="C4" t="s">
        <v>43</v>
      </c>
    </row>
    <row r="5" spans="1:5" x14ac:dyDescent="0.35">
      <c r="A5" t="s">
        <v>40</v>
      </c>
      <c r="B5">
        <v>10</v>
      </c>
      <c r="C5" s="13" t="s">
        <v>52</v>
      </c>
    </row>
    <row r="6" spans="1:5" x14ac:dyDescent="0.35">
      <c r="A6" t="s">
        <v>41</v>
      </c>
      <c r="B6">
        <v>7</v>
      </c>
      <c r="C6" t="s">
        <v>51</v>
      </c>
    </row>
    <row r="7" spans="1:5" x14ac:dyDescent="0.35">
      <c r="A7" t="s">
        <v>48</v>
      </c>
      <c r="B7" s="4">
        <f>B4/365</f>
        <v>1.3698630136986301</v>
      </c>
      <c r="C7" t="s">
        <v>53</v>
      </c>
    </row>
    <row r="8" spans="1:5" x14ac:dyDescent="0.35">
      <c r="A8" t="s">
        <v>50</v>
      </c>
      <c r="B8" s="12">
        <v>0.97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(ARM)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</vt:lpstr>
      <vt:lpstr>22</vt:lpstr>
      <vt:lpstr>24</vt:lpstr>
      <vt:lpstr>28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Fornari, Ricardo V</dc:creator>
  <cp:lastModifiedBy>gisele gurgel</cp:lastModifiedBy>
  <dcterms:created xsi:type="dcterms:W3CDTF">2014-10-28T22:59:14Z</dcterms:created>
  <dcterms:modified xsi:type="dcterms:W3CDTF">2014-11-02T17:00:01Z</dcterms:modified>
</cp:coreProperties>
</file>